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8"/>
  <workbookPr/>
  <mc:AlternateContent xmlns:mc="http://schemas.openxmlformats.org/markup-compatibility/2006">
    <mc:Choice Requires="x15">
      <x15ac:absPath xmlns:x15ac="http://schemas.microsoft.com/office/spreadsheetml/2010/11/ac" url="https://findeterco.sharepoint.com/sites/GERENCIADEDESARROLLOTERRITORIAL/Documentos compartidos/2024/VIVIENDA/MIB - EP MVCT/CI - 1350 DE 2023/02 Contratación Derivada/01 MIB/01 Soledad/03 Obra/01 Precontractual/04 Convocatoria XXX/01 Costeos/"/>
    </mc:Choice>
  </mc:AlternateContent>
  <xr:revisionPtr revIDLastSave="154" documentId="8_{5961C2FA-8733-4B84-B247-18C6890D25FC}" xr6:coauthVersionLast="47" xr6:coauthVersionMax="47" xr10:uidLastSave="{BD9E70D8-4581-42BA-BB16-B89B9C67DFFF}"/>
  <bookViews>
    <workbookView xWindow="-110" yWindow="-110" windowWidth="19420" windowHeight="10420" firstSheet="5" activeTab="5" xr2:uid="{289919DE-2A6B-489D-98BC-7ADC5AC76979}"/>
  </bookViews>
  <sheets>
    <sheet name="Consultoria" sheetId="4" r:id="rId1"/>
    <sheet name="Obra" sheetId="1" r:id="rId2"/>
    <sheet name="InterventoriaC" sheetId="6" r:id="rId3"/>
    <sheet name="InterventoriaO" sheetId="7" r:id="rId4"/>
    <sheet name="CierreLiquidacion" sheetId="8" r:id="rId5"/>
    <sheet name="Resumen" sheetId="9" r:id="rId6"/>
  </sheets>
  <externalReferences>
    <externalReference r:id="rId7"/>
  </externalReferences>
  <definedNames>
    <definedName name="IVASobreUtilidad">'[1]IMPUESTOS Y VR TOTAL'!$E$15</definedName>
    <definedName name="TotalContratoSinIVA" localSheetId="4">CierreLiquidacion!#REF!</definedName>
    <definedName name="TotalContratoSinIVA" localSheetId="0">Consultoria!#REF!</definedName>
    <definedName name="TotalContratoSinIVA" localSheetId="2">InterventoriaC!#REF!</definedName>
    <definedName name="TotalContratoSinIVA" localSheetId="3">InterventoriaO!#REF!</definedName>
    <definedName name="TotalContratoSinIVA">Obra!$C$22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9" l="1"/>
  <c r="K25" i="9" s="1"/>
  <c r="M16" i="9"/>
  <c r="M15" i="9"/>
  <c r="M14" i="9"/>
  <c r="L15" i="9"/>
  <c r="L14" i="9"/>
  <c r="K15" i="9"/>
  <c r="K14" i="9"/>
  <c r="J17" i="9"/>
  <c r="J16" i="9"/>
  <c r="J15" i="9"/>
  <c r="J14" i="9"/>
  <c r="H12" i="9"/>
  <c r="I25" i="9"/>
  <c r="E24" i="4"/>
  <c r="E22" i="4"/>
  <c r="E20" i="4"/>
  <c r="H2" i="9"/>
  <c r="H7" i="9" s="1"/>
  <c r="H3" i="9"/>
  <c r="H10" i="9"/>
  <c r="I10" i="9"/>
  <c r="J7" i="9" l="1"/>
  <c r="I7" i="9" l="1"/>
  <c r="D24" i="9" l="1"/>
  <c r="D18" i="9"/>
  <c r="C4" i="9"/>
  <c r="F6" i="9"/>
  <c r="E6" i="9"/>
  <c r="F3" i="9"/>
  <c r="E3" i="9"/>
  <c r="C3" i="9"/>
  <c r="F2" i="9"/>
  <c r="E2" i="9"/>
  <c r="E7" i="9" l="1"/>
  <c r="F7" i="9"/>
  <c r="C10" i="9" s="1"/>
  <c r="E24" i="9"/>
  <c r="E14" i="8" l="1"/>
  <c r="C14" i="8"/>
  <c r="F13" i="8"/>
  <c r="E12" i="8"/>
  <c r="C12" i="8"/>
  <c r="F11" i="8"/>
  <c r="F10" i="8"/>
  <c r="F9" i="8"/>
  <c r="F8" i="8"/>
  <c r="F7" i="8"/>
  <c r="F6" i="8"/>
  <c r="F5" i="8"/>
  <c r="F4" i="8"/>
  <c r="F3" i="8"/>
  <c r="E14" i="7"/>
  <c r="C14" i="7"/>
  <c r="F13" i="7"/>
  <c r="E12" i="7"/>
  <c r="C12" i="7"/>
  <c r="F11" i="7"/>
  <c r="F10" i="7"/>
  <c r="F9" i="7"/>
  <c r="F8" i="7"/>
  <c r="F7" i="7"/>
  <c r="F6" i="7"/>
  <c r="F5" i="7"/>
  <c r="F4" i="7"/>
  <c r="F3" i="7"/>
  <c r="E15" i="8" l="1"/>
  <c r="E16" i="8" s="1"/>
  <c r="E17" i="8" s="1"/>
  <c r="F12" i="8"/>
  <c r="C15" i="8"/>
  <c r="F14" i="8"/>
  <c r="E15" i="7"/>
  <c r="E16" i="7" s="1"/>
  <c r="E17" i="7" s="1"/>
  <c r="F14" i="7"/>
  <c r="F12" i="7"/>
  <c r="C15" i="7"/>
  <c r="C16" i="7" s="1"/>
  <c r="C17" i="7" s="1"/>
  <c r="F15" i="8" l="1"/>
  <c r="C16" i="8"/>
  <c r="F16" i="8" s="1"/>
  <c r="C17" i="8"/>
  <c r="F17" i="8" s="1"/>
  <c r="F17" i="7"/>
  <c r="F16" i="7"/>
  <c r="F15" i="7"/>
  <c r="E14" i="6" l="1"/>
  <c r="C14" i="6"/>
  <c r="F13" i="6"/>
  <c r="E12" i="6"/>
  <c r="C12" i="6"/>
  <c r="F11" i="6"/>
  <c r="F10" i="6"/>
  <c r="F9" i="6"/>
  <c r="F8" i="6"/>
  <c r="F7" i="6"/>
  <c r="F6" i="6"/>
  <c r="F5" i="6"/>
  <c r="F4" i="6"/>
  <c r="F3" i="6"/>
  <c r="F12" i="6" l="1"/>
  <c r="E15" i="6"/>
  <c r="E16" i="6" s="1"/>
  <c r="E17" i="6" s="1"/>
  <c r="C15" i="6"/>
  <c r="C16" i="6" s="1"/>
  <c r="F14" i="6"/>
  <c r="F15" i="6" l="1"/>
  <c r="F16" i="6"/>
  <c r="C17" i="6"/>
  <c r="F17" i="6" s="1"/>
  <c r="F6" i="4" l="1"/>
  <c r="F7" i="4"/>
  <c r="F8" i="4"/>
  <c r="F9" i="4"/>
  <c r="F10" i="4"/>
  <c r="F11" i="4"/>
  <c r="F13" i="4"/>
  <c r="F5" i="4"/>
  <c r="F4" i="4"/>
  <c r="E12" i="4"/>
  <c r="C12" i="4"/>
  <c r="E14" i="4"/>
  <c r="C14" i="4"/>
  <c r="F14" i="4" s="1"/>
  <c r="C15" i="4" l="1"/>
  <c r="C16" i="4" s="1"/>
  <c r="C17" i="4" s="1"/>
  <c r="F12" i="4"/>
  <c r="E15" i="4"/>
  <c r="F3" i="4"/>
  <c r="F11" i="1"/>
  <c r="F10" i="1"/>
  <c r="F7" i="1"/>
  <c r="F6" i="1"/>
  <c r="F5" i="1"/>
  <c r="F4" i="1"/>
  <c r="F3" i="1"/>
  <c r="E16" i="1"/>
  <c r="E18" i="1" s="1"/>
  <c r="E22" i="1" s="1"/>
  <c r="D3" i="9" s="1"/>
  <c r="E14" i="1"/>
  <c r="E20" i="1" s="1"/>
  <c r="E13" i="1"/>
  <c r="C14" i="1"/>
  <c r="C20" i="1" s="1"/>
  <c r="C13" i="1"/>
  <c r="F13" i="1" s="1"/>
  <c r="C12" i="1"/>
  <c r="F12" i="1" s="1"/>
  <c r="B16" i="1"/>
  <c r="C2" i="9" l="1"/>
  <c r="C7" i="9" s="1"/>
  <c r="C22" i="4"/>
  <c r="C28" i="1"/>
  <c r="E16" i="4"/>
  <c r="F15" i="4"/>
  <c r="F20" i="1"/>
  <c r="F14" i="1"/>
  <c r="C16" i="1"/>
  <c r="H9" i="9" l="1"/>
  <c r="I9" i="9"/>
  <c r="I12" i="9" s="1"/>
  <c r="C20" i="9"/>
  <c r="E17" i="4"/>
  <c r="D2" i="9" s="1"/>
  <c r="D7" i="9" s="1"/>
  <c r="C9" i="9" s="1"/>
  <c r="C12" i="9" s="1"/>
  <c r="F16" i="4"/>
  <c r="F16" i="1"/>
  <c r="C18" i="1"/>
  <c r="J9" i="9" l="1"/>
  <c r="E28" i="1"/>
  <c r="F28" i="1" s="1"/>
  <c r="H28" i="1" s="1"/>
  <c r="I28" i="1" s="1"/>
  <c r="F17" i="4"/>
  <c r="F20" i="4" s="1"/>
  <c r="C22" i="1"/>
  <c r="F18" i="1"/>
  <c r="F22" i="1" l="1"/>
  <c r="C26" i="1"/>
</calcChain>
</file>

<file path=xl/sharedStrings.xml><?xml version="1.0" encoding="utf-8"?>
<sst xmlns="http://schemas.openxmlformats.org/spreadsheetml/2006/main" count="118" uniqueCount="55">
  <si>
    <t>Descripcion</t>
  </si>
  <si>
    <t>Precios Año 2023</t>
  </si>
  <si>
    <t>Precios Año 2025</t>
  </si>
  <si>
    <t>Diferencias</t>
  </si>
  <si>
    <t>COSTO DIRECTO OBRA:</t>
  </si>
  <si>
    <t>PERSONAL PROFESIONAL</t>
  </si>
  <si>
    <t>PERSONAL TÉCNICO</t>
  </si>
  <si>
    <t>EQUIPOS-VEHICULOS-OTROS</t>
  </si>
  <si>
    <t>TRAMITES Y LICENCIAS</t>
  </si>
  <si>
    <t>GASTOS VIAJE</t>
  </si>
  <si>
    <t>ENSAYOS/ANALISIS LAB.</t>
  </si>
  <si>
    <t>CAMPAMENTO</t>
  </si>
  <si>
    <t>COSTOS PERSONAL</t>
  </si>
  <si>
    <t>COSTOS INDIRECTOS</t>
  </si>
  <si>
    <t>COSTO ANTES DE IVA</t>
  </si>
  <si>
    <t>IVA</t>
  </si>
  <si>
    <t>VALOR TOTAL</t>
  </si>
  <si>
    <t>Valor presupuesto SDO</t>
  </si>
  <si>
    <t>PERSONAL</t>
  </si>
  <si>
    <t>OFICINA</t>
  </si>
  <si>
    <t>EQUIPOS-VEHÍCULOS-OTROS (COSTOS INDIRECTOS)</t>
  </si>
  <si>
    <t>ENSAYOS (COSTOS INDIRECTOS)</t>
  </si>
  <si>
    <t>TRÁMITES Y LICENCIAS (COSTOS INDIRECTOS)</t>
  </si>
  <si>
    <t>GASTOS VIAJE (COSTOS INDIRECTOS)</t>
  </si>
  <si>
    <t>CAMPAMENTO Y GASTOS DE OBRA</t>
  </si>
  <si>
    <t>IMPUESTOS (SIN IVA) - POLIZAS</t>
  </si>
  <si>
    <t>ADMINISTRACIÓN</t>
  </si>
  <si>
    <t xml:space="preserve">IMPREVISTOS </t>
  </si>
  <si>
    <t>UTILIDAD</t>
  </si>
  <si>
    <t>TOTAL AIU</t>
  </si>
  <si>
    <t>VALOR TOTAL CONTRATO SIN IVA</t>
  </si>
  <si>
    <t>VALOR IVA</t>
  </si>
  <si>
    <t>VALOR TOTAL CONTRATO</t>
  </si>
  <si>
    <t>Total Proyecto</t>
  </si>
  <si>
    <t>Descripción</t>
  </si>
  <si>
    <t>2023_Obra</t>
  </si>
  <si>
    <t>2025_Obra</t>
  </si>
  <si>
    <t>2023_Int</t>
  </si>
  <si>
    <t>2025_Int</t>
  </si>
  <si>
    <t>2025 II_Obra</t>
  </si>
  <si>
    <t>2025 II_Int</t>
  </si>
  <si>
    <t>Etapa I</t>
  </si>
  <si>
    <t>Etapa II</t>
  </si>
  <si>
    <t>Diferencia</t>
  </si>
  <si>
    <t>Acompañamiento Social</t>
  </si>
  <si>
    <t>Liquidación</t>
  </si>
  <si>
    <t>TOTAL</t>
  </si>
  <si>
    <t>Diferencia Obra</t>
  </si>
  <si>
    <t>Diferencia Int</t>
  </si>
  <si>
    <t>Total Inversion Adicional</t>
  </si>
  <si>
    <t>Adjudicación Yopal Obra</t>
  </si>
  <si>
    <t>Etapa 1</t>
  </si>
  <si>
    <t>Etapa 2</t>
  </si>
  <si>
    <t>Ruta sostenibilidad</t>
  </si>
  <si>
    <t>Adjudicación Yopal 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</si>
</sst>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 * #,##0.00_ ;_ * \-#,##0.00_ ;_ * &quot;-&quot;??_ ;_ @_ "/>
    <numFmt numFmtId="166" formatCode="0.000%"/>
    <numFmt numFmtId="168" formatCode="_-* #,##0.0000_-;\-* #,##0.0000_-;_-* &quot;-&quot;??_-;_-@_-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rgb="FF00B050"/>
      <name val="Arial Narrow"/>
      <family val="2"/>
    </font>
    <font>
      <sz val="11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8">
    <xf numFmtId="0" fontId="0" fillId="0" borderId="0" xfId="0"/>
    <xf numFmtId="0" fontId="4" fillId="0" borderId="0" xfId="0" applyFont="1"/>
    <xf numFmtId="43" fontId="4" fillId="0" borderId="0" xfId="1" applyFont="1"/>
    <xf numFmtId="0" fontId="5" fillId="0" borderId="0" xfId="0" applyFont="1" applyProtection="1">
      <protection hidden="1"/>
    </xf>
    <xf numFmtId="43" fontId="5" fillId="0" borderId="0" xfId="1" applyFont="1" applyProtection="1">
      <protection hidden="1"/>
    </xf>
    <xf numFmtId="0" fontId="4" fillId="0" borderId="0" xfId="0" applyFont="1" applyProtection="1">
      <protection hidden="1"/>
    </xf>
    <xf numFmtId="43" fontId="4" fillId="0" borderId="0" xfId="1" applyFont="1" applyProtection="1">
      <protection hidden="1"/>
    </xf>
    <xf numFmtId="0" fontId="6" fillId="0" borderId="0" xfId="0" applyFont="1"/>
    <xf numFmtId="164" fontId="6" fillId="0" borderId="0" xfId="2" applyFont="1"/>
    <xf numFmtId="164" fontId="6" fillId="0" borderId="0" xfId="2" applyFont="1" applyFill="1"/>
    <xf numFmtId="0" fontId="7" fillId="0" borderId="0" xfId="0" applyFont="1"/>
    <xf numFmtId="164" fontId="7" fillId="0" borderId="0" xfId="2" applyFont="1"/>
    <xf numFmtId="164" fontId="7" fillId="0" borderId="0" xfId="2" applyFont="1" applyFill="1"/>
    <xf numFmtId="164" fontId="7" fillId="0" borderId="0" xfId="0" applyNumberFormat="1" applyFont="1"/>
    <xf numFmtId="164" fontId="8" fillId="0" borderId="0" xfId="2" applyFont="1"/>
    <xf numFmtId="0" fontId="9" fillId="2" borderId="1" xfId="4" applyFont="1" applyBorder="1"/>
    <xf numFmtId="10" fontId="9" fillId="2" borderId="2" xfId="4" applyNumberFormat="1" applyFont="1" applyBorder="1"/>
    <xf numFmtId="165" fontId="9" fillId="2" borderId="3" xfId="4" applyNumberFormat="1" applyFont="1" applyBorder="1" applyProtection="1">
      <protection hidden="1"/>
    </xf>
    <xf numFmtId="9" fontId="7" fillId="0" borderId="0" xfId="3" applyFont="1"/>
    <xf numFmtId="10" fontId="7" fillId="0" borderId="0" xfId="3" applyNumberFormat="1" applyFont="1"/>
    <xf numFmtId="165" fontId="9" fillId="2" borderId="0" xfId="4" applyNumberFormat="1" applyFont="1" applyBorder="1" applyProtection="1">
      <protection hidden="1"/>
    </xf>
    <xf numFmtId="0" fontId="9" fillId="2" borderId="1" xfId="4" applyFont="1" applyBorder="1" applyAlignment="1" applyProtection="1">
      <alignment horizontal="left"/>
      <protection hidden="1"/>
    </xf>
    <xf numFmtId="0" fontId="9" fillId="2" borderId="2" xfId="4" applyFont="1" applyBorder="1" applyAlignment="1" applyProtection="1">
      <alignment horizontal="left"/>
      <protection hidden="1"/>
    </xf>
    <xf numFmtId="9" fontId="9" fillId="2" borderId="2" xfId="4" applyNumberFormat="1" applyFont="1" applyBorder="1" applyAlignment="1" applyProtection="1">
      <alignment horizontal="left" indent="1"/>
      <protection hidden="1"/>
    </xf>
    <xf numFmtId="164" fontId="6" fillId="0" borderId="0" xfId="0" applyNumberFormat="1" applyFont="1"/>
    <xf numFmtId="164" fontId="6" fillId="3" borderId="0" xfId="0" applyNumberFormat="1" applyFont="1" applyFill="1"/>
    <xf numFmtId="0" fontId="6" fillId="4" borderId="0" xfId="0" applyFont="1" applyFill="1"/>
    <xf numFmtId="164" fontId="7" fillId="4" borderId="0" xfId="2" applyFont="1" applyFill="1"/>
    <xf numFmtId="0" fontId="7" fillId="4" borderId="0" xfId="0" applyFont="1" applyFill="1"/>
    <xf numFmtId="164" fontId="6" fillId="4" borderId="0" xfId="2" applyFont="1" applyFill="1"/>
    <xf numFmtId="164" fontId="7" fillId="4" borderId="0" xfId="0" applyNumberFormat="1" applyFont="1" applyFill="1"/>
    <xf numFmtId="164" fontId="6" fillId="4" borderId="0" xfId="0" applyNumberFormat="1" applyFont="1" applyFill="1"/>
    <xf numFmtId="43" fontId="6" fillId="0" borderId="0" xfId="0" applyNumberFormat="1" applyFont="1"/>
    <xf numFmtId="43" fontId="7" fillId="0" borderId="0" xfId="0" applyNumberFormat="1" applyFont="1"/>
    <xf numFmtId="10" fontId="7" fillId="0" borderId="0" xfId="0" applyNumberFormat="1" applyFont="1"/>
    <xf numFmtId="9" fontId="7" fillId="0" borderId="0" xfId="2" applyNumberFormat="1" applyFont="1"/>
    <xf numFmtId="166" fontId="7" fillId="0" borderId="0" xfId="0" applyNumberFormat="1" applyFont="1"/>
    <xf numFmtId="168" fontId="7" fillId="0" borderId="0" xfId="2" applyNumberFormat="1" applyFont="1"/>
  </cellXfs>
  <cellStyles count="5">
    <cellStyle name="Énfasis1" xfId="4" builtinId="29"/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findeterco-my.sharepoint.com/personal/dfrojas_findeter_gov_co/Documents/MIB/Banco%20Mundial%201350/Estructuraci&#243;n/2.%20Obra%20(20231010Costeo%20Actualizado%20AIU%202023)-Antiguo.xlsm" TargetMode="External"/><Relationship Id="rId1" Type="http://schemas.openxmlformats.org/officeDocument/2006/relationships/externalLinkPath" Target="/personal/dfrojas_findeter_gov_co/Documents/MIB/Banco%20Mundial%201350/Estructuraci&#243;n/2.%20Obra%20(20231010Costeo%20Actualizado%20AIU%202023)-Antigu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ifas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TarifaMT"/>
      <sheetName val="Hoja1"/>
      <sheetName val="Hoja2"/>
      <sheetName val="Hoja3"/>
      <sheetName val="IPC"/>
      <sheetName val="INFLACION"/>
      <sheetName val="Ensayos Laboratorio"/>
      <sheetName val="proyecc desembol"/>
      <sheetName val="Top_Y_Batimetri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BDCC-FBC6-4283-8D36-B0FF38D5B97F}">
  <dimension ref="A2:F24"/>
  <sheetViews>
    <sheetView topLeftCell="A7" workbookViewId="0">
      <selection activeCell="F17" sqref="F17"/>
    </sheetView>
  </sheetViews>
  <sheetFormatPr defaultColWidth="11.42578125" defaultRowHeight="14.1"/>
  <cols>
    <col min="1" max="1" width="46.7109375" style="10" bestFit="1" customWidth="1"/>
    <col min="2" max="3" width="18.28515625" style="11" bestFit="1" customWidth="1"/>
    <col min="4" max="4" width="18.28515625" style="12" customWidth="1"/>
    <col min="5" max="5" width="29.28515625" style="11" bestFit="1" customWidth="1"/>
    <col min="6" max="6" width="19.7109375" style="10" customWidth="1"/>
    <col min="7" max="16384" width="11.42578125" style="10"/>
  </cols>
  <sheetData>
    <row r="2" spans="1:6" s="7" customFormat="1">
      <c r="A2" s="7" t="s">
        <v>0</v>
      </c>
      <c r="B2" s="8"/>
      <c r="C2" s="8" t="s">
        <v>1</v>
      </c>
      <c r="D2" s="9"/>
      <c r="E2" s="8" t="s">
        <v>2</v>
      </c>
      <c r="F2" s="8" t="s">
        <v>3</v>
      </c>
    </row>
    <row r="3" spans="1:6">
      <c r="A3" s="10" t="s">
        <v>4</v>
      </c>
      <c r="C3" s="11">
        <v>0</v>
      </c>
      <c r="E3" s="11">
        <v>0</v>
      </c>
      <c r="F3" s="13">
        <f>+C3-E3</f>
        <v>0</v>
      </c>
    </row>
    <row r="4" spans="1:6">
      <c r="F4" s="13">
        <f t="shared" ref="F4" si="0">+C4-E4</f>
        <v>0</v>
      </c>
    </row>
    <row r="5" spans="1:6">
      <c r="A5" s="10" t="s">
        <v>5</v>
      </c>
      <c r="C5" s="11">
        <v>349886086.18545145</v>
      </c>
      <c r="E5" s="14">
        <v>443771736.23360902</v>
      </c>
      <c r="F5" s="13">
        <f>+C5-E5</f>
        <v>-93885650.048157573</v>
      </c>
    </row>
    <row r="6" spans="1:6">
      <c r="A6" s="10" t="s">
        <v>6</v>
      </c>
      <c r="C6" s="11">
        <v>32569548.873271685</v>
      </c>
      <c r="E6" s="11">
        <v>36587216.81383276</v>
      </c>
      <c r="F6" s="13">
        <f t="shared" ref="F6:F17" si="1">+C6-E6</f>
        <v>-4017667.9405610748</v>
      </c>
    </row>
    <row r="7" spans="1:6">
      <c r="A7" s="10" t="s">
        <v>7</v>
      </c>
      <c r="C7" s="11">
        <v>6562715.04</v>
      </c>
      <c r="E7" s="11">
        <v>7544669.9199999999</v>
      </c>
      <c r="F7" s="13">
        <f t="shared" si="1"/>
        <v>-981954.87999999989</v>
      </c>
    </row>
    <row r="8" spans="1:6">
      <c r="A8" s="10" t="s">
        <v>8</v>
      </c>
      <c r="C8" s="11">
        <v>0</v>
      </c>
      <c r="E8" s="11">
        <v>0</v>
      </c>
      <c r="F8" s="13">
        <f t="shared" si="1"/>
        <v>0</v>
      </c>
    </row>
    <row r="9" spans="1:6">
      <c r="A9" s="10" t="s">
        <v>9</v>
      </c>
      <c r="C9" s="11">
        <v>4720000</v>
      </c>
      <c r="E9" s="11">
        <v>4720000</v>
      </c>
      <c r="F9" s="13">
        <f t="shared" si="1"/>
        <v>0</v>
      </c>
    </row>
    <row r="10" spans="1:6">
      <c r="A10" s="10" t="s">
        <v>10</v>
      </c>
      <c r="C10" s="11">
        <v>26000000</v>
      </c>
      <c r="E10" s="11">
        <v>26000000</v>
      </c>
      <c r="F10" s="13">
        <f t="shared" si="1"/>
        <v>0</v>
      </c>
    </row>
    <row r="11" spans="1:6">
      <c r="A11" s="10" t="s">
        <v>11</v>
      </c>
      <c r="C11" s="12">
        <v>0</v>
      </c>
      <c r="E11" s="12">
        <v>0</v>
      </c>
      <c r="F11" s="13">
        <f t="shared" si="1"/>
        <v>0</v>
      </c>
    </row>
    <row r="12" spans="1:6">
      <c r="A12" s="10" t="s">
        <v>12</v>
      </c>
      <c r="C12" s="11">
        <f>+C5+C6</f>
        <v>382455635.05872315</v>
      </c>
      <c r="E12" s="11">
        <f>+E6+E5</f>
        <v>480358953.04744178</v>
      </c>
      <c r="F12" s="13">
        <f t="shared" si="1"/>
        <v>-97903317.988718629</v>
      </c>
    </row>
    <row r="13" spans="1:6" ht="14.45" thickBot="1">
      <c r="F13" s="13">
        <f t="shared" si="1"/>
        <v>0</v>
      </c>
    </row>
    <row r="14" spans="1:6" ht="14.45" thickBot="1">
      <c r="A14" s="15" t="s">
        <v>13</v>
      </c>
      <c r="B14" s="16"/>
      <c r="C14" s="17">
        <f>+C10+C9+C7</f>
        <v>37282715.039999999</v>
      </c>
      <c r="D14" s="16"/>
      <c r="E14" s="17">
        <f>+E10+E9+E7</f>
        <v>38264669.920000002</v>
      </c>
      <c r="F14" s="13">
        <f t="shared" si="1"/>
        <v>-981954.88000000268</v>
      </c>
    </row>
    <row r="15" spans="1:6" ht="14.45" thickBot="1">
      <c r="A15" s="15" t="s">
        <v>14</v>
      </c>
      <c r="B15" s="16"/>
      <c r="C15" s="17">
        <f>+C12+C14</f>
        <v>419738350.09872317</v>
      </c>
      <c r="D15" s="16"/>
      <c r="E15" s="17">
        <f>+E12+E14</f>
        <v>518623622.9674418</v>
      </c>
      <c r="F15" s="13">
        <f t="shared" si="1"/>
        <v>-98885272.868718624</v>
      </c>
    </row>
    <row r="16" spans="1:6" ht="14.45" thickBot="1">
      <c r="A16" s="15" t="s">
        <v>15</v>
      </c>
      <c r="B16" s="16">
        <v>0.19</v>
      </c>
      <c r="C16" s="17">
        <f>+C15*B16</f>
        <v>79750286.518757403</v>
      </c>
      <c r="D16" s="16">
        <v>0.19</v>
      </c>
      <c r="E16" s="17">
        <f>+E15*D16</f>
        <v>98538488.363813937</v>
      </c>
      <c r="F16" s="13">
        <f t="shared" si="1"/>
        <v>-18788201.845056534</v>
      </c>
    </row>
    <row r="17" spans="1:6" ht="14.45" thickBot="1">
      <c r="A17" s="15" t="s">
        <v>16</v>
      </c>
      <c r="B17" s="16"/>
      <c r="C17" s="17">
        <f>+C16+C15</f>
        <v>499488636.61748058</v>
      </c>
      <c r="D17" s="16"/>
      <c r="E17" s="17">
        <f>+E16+E15</f>
        <v>617162111.33125567</v>
      </c>
      <c r="F17" s="13">
        <f t="shared" si="1"/>
        <v>-117673474.7137751</v>
      </c>
    </row>
    <row r="20" spans="1:6">
      <c r="A20" s="10" t="s">
        <v>17</v>
      </c>
      <c r="C20" s="11">
        <v>499488636</v>
      </c>
      <c r="E20" s="11">
        <f>E17+Obra!E22</f>
        <v>6687127001.4100008</v>
      </c>
      <c r="F20" s="18">
        <f>+ABS(F17/C17)+1</f>
        <v>1.2355878914696752</v>
      </c>
    </row>
    <row r="21" spans="1:6">
      <c r="E21" s="11">
        <v>120555925</v>
      </c>
    </row>
    <row r="22" spans="1:6">
      <c r="C22" s="11">
        <f>+C17-C20</f>
        <v>0.6174805760383606</v>
      </c>
      <c r="E22" s="11">
        <f>E21+E20</f>
        <v>6807682926.4100008</v>
      </c>
    </row>
    <row r="23" spans="1:6">
      <c r="E23" s="11">
        <v>781626840</v>
      </c>
    </row>
    <row r="24" spans="1:6">
      <c r="E24" s="11">
        <f>E22+E23</f>
        <v>7589309766.4100008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93F74-0F93-4493-A617-41B9E048E6E1}">
  <dimension ref="A2:I28"/>
  <sheetViews>
    <sheetView topLeftCell="A12" workbookViewId="0">
      <selection activeCell="F22" sqref="F22"/>
    </sheetView>
  </sheetViews>
  <sheetFormatPr defaultColWidth="11.42578125" defaultRowHeight="14.1"/>
  <cols>
    <col min="1" max="1" width="46.7109375" style="10" bestFit="1" customWidth="1"/>
    <col min="2" max="3" width="18.28515625" style="11" bestFit="1" customWidth="1"/>
    <col min="4" max="4" width="18.28515625" style="11" customWidth="1"/>
    <col min="5" max="5" width="29.28515625" style="11" bestFit="1" customWidth="1"/>
    <col min="6" max="6" width="16.7109375" style="10" bestFit="1" customWidth="1"/>
    <col min="7" max="8" width="11.42578125" style="10"/>
    <col min="9" max="9" width="18.28515625" style="10" bestFit="1" customWidth="1"/>
    <col min="10" max="16384" width="11.42578125" style="10"/>
  </cols>
  <sheetData>
    <row r="2" spans="1:6" s="7" customFormat="1">
      <c r="A2" s="7" t="s">
        <v>0</v>
      </c>
      <c r="B2" s="8"/>
      <c r="C2" s="8" t="s">
        <v>1</v>
      </c>
      <c r="D2" s="8"/>
      <c r="E2" s="8" t="s">
        <v>2</v>
      </c>
      <c r="F2" s="8" t="s">
        <v>3</v>
      </c>
    </row>
    <row r="3" spans="1:6">
      <c r="A3" s="10" t="s">
        <v>4</v>
      </c>
      <c r="C3" s="11">
        <v>4300000000</v>
      </c>
      <c r="E3" s="11">
        <v>4300000000</v>
      </c>
      <c r="F3" s="13">
        <f>+C3-E3</f>
        <v>0</v>
      </c>
    </row>
    <row r="4" spans="1:6">
      <c r="A4" s="10" t="s">
        <v>18</v>
      </c>
      <c r="C4" s="11">
        <v>678700780.19882941</v>
      </c>
      <c r="E4" s="11">
        <v>737347107.66174483</v>
      </c>
      <c r="F4" s="13">
        <f>+C4-E4</f>
        <v>-58646327.462915421</v>
      </c>
    </row>
    <row r="5" spans="1:6">
      <c r="A5" s="10" t="s">
        <v>19</v>
      </c>
      <c r="C5" s="11">
        <v>4685903.5860000001</v>
      </c>
      <c r="E5" s="11">
        <v>5387038.2369999997</v>
      </c>
      <c r="F5" s="13">
        <f>+C5-E5</f>
        <v>-701134.65099999961</v>
      </c>
    </row>
    <row r="6" spans="1:6">
      <c r="A6" s="10" t="s">
        <v>20</v>
      </c>
      <c r="C6" s="11">
        <v>5742375.6599999992</v>
      </c>
      <c r="E6" s="11">
        <v>6601586.1799999997</v>
      </c>
      <c r="F6" s="13">
        <f>+C6-E6</f>
        <v>-859210.52000000048</v>
      </c>
    </row>
    <row r="7" spans="1:6">
      <c r="A7" s="10" t="s">
        <v>21</v>
      </c>
      <c r="C7" s="12">
        <v>15000000</v>
      </c>
      <c r="D7" s="12"/>
      <c r="E7" s="12">
        <v>15000000</v>
      </c>
      <c r="F7" s="13">
        <f>+C7-E7</f>
        <v>0</v>
      </c>
    </row>
    <row r="8" spans="1:6">
      <c r="A8" s="10" t="s">
        <v>22</v>
      </c>
      <c r="C8" s="11">
        <v>0</v>
      </c>
    </row>
    <row r="9" spans="1:6">
      <c r="A9" s="10" t="s">
        <v>23</v>
      </c>
      <c r="C9" s="11">
        <v>0</v>
      </c>
    </row>
    <row r="10" spans="1:6">
      <c r="A10" s="10" t="s">
        <v>24</v>
      </c>
      <c r="C10" s="11">
        <v>3500000</v>
      </c>
      <c r="E10" s="11">
        <v>3500000</v>
      </c>
      <c r="F10" s="13">
        <f>+C10-E10</f>
        <v>0</v>
      </c>
    </row>
    <row r="11" spans="1:6">
      <c r="A11" s="10" t="s">
        <v>25</v>
      </c>
      <c r="C11" s="11">
        <v>614193458</v>
      </c>
      <c r="E11" s="14">
        <v>805619158</v>
      </c>
      <c r="F11" s="13">
        <f>+C11-E11</f>
        <v>-191425700</v>
      </c>
    </row>
    <row r="12" spans="1:6">
      <c r="A12" s="10" t="s">
        <v>26</v>
      </c>
      <c r="B12" s="19">
        <v>0.30740058545228593</v>
      </c>
      <c r="C12" s="11">
        <f>+B12*$C$3</f>
        <v>1321822517.4448295</v>
      </c>
      <c r="D12" s="19">
        <v>0.35382750150793074</v>
      </c>
      <c r="E12" s="11">
        <v>1573454890.0787449</v>
      </c>
      <c r="F12" s="13">
        <f>+C12-E12</f>
        <v>-251632372.63391542</v>
      </c>
    </row>
    <row r="13" spans="1:6">
      <c r="A13" s="10" t="s">
        <v>27</v>
      </c>
      <c r="B13" s="19">
        <v>0.01</v>
      </c>
      <c r="C13" s="11">
        <f>+B13*$C$3</f>
        <v>43000000</v>
      </c>
      <c r="D13" s="19">
        <v>0.01</v>
      </c>
      <c r="E13" s="11">
        <f>+D13*$E$3</f>
        <v>43000000</v>
      </c>
      <c r="F13" s="13">
        <f>+C13-E13</f>
        <v>0</v>
      </c>
    </row>
    <row r="14" spans="1:6">
      <c r="A14" s="10" t="s">
        <v>28</v>
      </c>
      <c r="B14" s="19">
        <v>0.03</v>
      </c>
      <c r="C14" s="11">
        <f>+B14*$C$3</f>
        <v>129000000</v>
      </c>
      <c r="D14" s="19">
        <v>0.03</v>
      </c>
      <c r="E14" s="11">
        <f>+D14*$E$3</f>
        <v>129000000</v>
      </c>
      <c r="F14" s="13">
        <f>+C14-E14</f>
        <v>0</v>
      </c>
    </row>
    <row r="15" spans="1:6" ht="14.45" thickBot="1"/>
    <row r="16" spans="1:6" ht="14.45" thickBot="1">
      <c r="A16" s="15" t="s">
        <v>29</v>
      </c>
      <c r="B16" s="16">
        <f>SUM(B12:B14)</f>
        <v>0.34740058545228591</v>
      </c>
      <c r="C16" s="17">
        <f>SUM(C12:C14)</f>
        <v>1493822517.4448295</v>
      </c>
      <c r="D16" s="20"/>
      <c r="E16" s="17">
        <f>SUM(E12:E14)</f>
        <v>1745454890.0787449</v>
      </c>
      <c r="F16" s="13">
        <f>+C16-E16</f>
        <v>-251632372.63391542</v>
      </c>
    </row>
    <row r="17" spans="1:9" ht="14.45" thickBot="1">
      <c r="A17" s="1"/>
      <c r="B17" s="1"/>
      <c r="C17" s="2"/>
      <c r="D17" s="2"/>
      <c r="E17" s="2"/>
    </row>
    <row r="18" spans="1:9" ht="14.45" thickBot="1">
      <c r="A18" s="21" t="s">
        <v>30</v>
      </c>
      <c r="B18" s="22"/>
      <c r="C18" s="17">
        <f>+C16+C3</f>
        <v>5793822517.4448299</v>
      </c>
      <c r="D18" s="20"/>
      <c r="E18" s="17">
        <f>+E3+E16</f>
        <v>6045454890.0787449</v>
      </c>
      <c r="F18" s="13">
        <f>+C18-E18</f>
        <v>-251632372.63391495</v>
      </c>
    </row>
    <row r="19" spans="1:9" ht="14.45" thickBot="1">
      <c r="A19" s="3"/>
      <c r="B19" s="3"/>
      <c r="C19" s="4"/>
      <c r="D19" s="4"/>
      <c r="E19" s="4"/>
    </row>
    <row r="20" spans="1:9" ht="14.45" thickBot="1">
      <c r="A20" s="21" t="s">
        <v>31</v>
      </c>
      <c r="B20" s="23">
        <v>0.19</v>
      </c>
      <c r="C20" s="17">
        <f>+B20*C14</f>
        <v>24510000</v>
      </c>
      <c r="D20" s="23">
        <v>0.19</v>
      </c>
      <c r="E20" s="17">
        <f>+D20*E14</f>
        <v>24510000</v>
      </c>
      <c r="F20" s="13">
        <f>+C20-E20</f>
        <v>0</v>
      </c>
    </row>
    <row r="21" spans="1:9" ht="14.45" thickBot="1">
      <c r="A21" s="5"/>
      <c r="B21" s="5"/>
      <c r="C21" s="6"/>
      <c r="D21" s="6"/>
      <c r="E21" s="6"/>
    </row>
    <row r="22" spans="1:9" ht="14.45" thickBot="1">
      <c r="A22" s="21" t="s">
        <v>32</v>
      </c>
      <c r="B22" s="22"/>
      <c r="C22" s="17">
        <f>+C18+C20</f>
        <v>5818332517.4448299</v>
      </c>
      <c r="D22" s="20"/>
      <c r="E22" s="17">
        <f>+E18+E20</f>
        <v>6069964890.0787449</v>
      </c>
      <c r="F22" s="13">
        <f>+C22-E22</f>
        <v>-251632372.63391495</v>
      </c>
    </row>
    <row r="24" spans="1:9">
      <c r="A24" s="10" t="s">
        <v>17</v>
      </c>
      <c r="C24" s="11">
        <v>5897774075</v>
      </c>
      <c r="E24" s="11">
        <v>6069964890.0787401</v>
      </c>
    </row>
    <row r="26" spans="1:9">
      <c r="C26" s="11">
        <f>+TotalContratoSinIVA-C24</f>
        <v>-79441557.555170059</v>
      </c>
    </row>
    <row r="28" spans="1:9">
      <c r="A28" s="10" t="s">
        <v>33</v>
      </c>
      <c r="C28" s="11">
        <f>+Consultoria!C17+TotalContratoSinIVA</f>
        <v>6317821154.0623102</v>
      </c>
      <c r="E28" s="11">
        <f>+Consultoria!E17+Obra!E22</f>
        <v>6687127001.4100008</v>
      </c>
      <c r="F28" s="13">
        <f>+C28-E28</f>
        <v>-369305847.34769058</v>
      </c>
      <c r="H28" s="18">
        <f>+ABS(F28/C28)+1</f>
        <v>1.0584546219878714</v>
      </c>
      <c r="I28" s="13">
        <f>+H28*C28</f>
        <v>6687127001.4099998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E5F58-E385-4805-9653-8AFC8A1B2C7E}">
  <dimension ref="A2:F20"/>
  <sheetViews>
    <sheetView workbookViewId="0">
      <selection activeCell="E8" sqref="E8"/>
    </sheetView>
  </sheetViews>
  <sheetFormatPr defaultColWidth="11.42578125" defaultRowHeight="14.1"/>
  <cols>
    <col min="1" max="1" width="46.7109375" style="10" bestFit="1" customWidth="1"/>
    <col min="2" max="3" width="18.28515625" style="11" bestFit="1" customWidth="1"/>
    <col min="4" max="4" width="18.28515625" style="12" customWidth="1"/>
    <col min="5" max="5" width="29.28515625" style="11" bestFit="1" customWidth="1"/>
    <col min="6" max="6" width="19.7109375" style="10" customWidth="1"/>
    <col min="7" max="16384" width="11.42578125" style="10"/>
  </cols>
  <sheetData>
    <row r="2" spans="1:6" s="7" customFormat="1">
      <c r="A2" s="7" t="s">
        <v>0</v>
      </c>
      <c r="B2" s="8"/>
      <c r="C2" s="8" t="s">
        <v>1</v>
      </c>
      <c r="D2" s="9"/>
      <c r="E2" s="8" t="s">
        <v>2</v>
      </c>
      <c r="F2" s="8" t="s">
        <v>3</v>
      </c>
    </row>
    <row r="3" spans="1:6">
      <c r="A3" s="10" t="s">
        <v>4</v>
      </c>
      <c r="C3" s="11">
        <v>0</v>
      </c>
      <c r="E3" s="11">
        <v>0</v>
      </c>
      <c r="F3" s="13">
        <f>+C3-E3</f>
        <v>0</v>
      </c>
    </row>
    <row r="4" spans="1:6">
      <c r="F4" s="13">
        <f t="shared" ref="F4" si="0">+C4-E4</f>
        <v>0</v>
      </c>
    </row>
    <row r="5" spans="1:6">
      <c r="A5" s="10" t="s">
        <v>5</v>
      </c>
      <c r="C5" s="11">
        <v>220565375.59819919</v>
      </c>
      <c r="E5" s="11">
        <v>247707733.92988178</v>
      </c>
      <c r="F5" s="13">
        <f>+C5-E5</f>
        <v>-27142358.331682593</v>
      </c>
    </row>
    <row r="6" spans="1:6">
      <c r="A6" s="10" t="s">
        <v>6</v>
      </c>
      <c r="C6" s="11">
        <v>3654103.6864269143</v>
      </c>
      <c r="E6" s="11">
        <v>4103770.7811335581</v>
      </c>
      <c r="F6" s="13">
        <f t="shared" ref="F6:F17" si="1">+C6-E6</f>
        <v>-449667.09470664384</v>
      </c>
    </row>
    <row r="7" spans="1:6">
      <c r="A7" s="10" t="s">
        <v>7</v>
      </c>
      <c r="C7" s="11">
        <v>3281357.52</v>
      </c>
      <c r="E7" s="11">
        <v>3772334.96</v>
      </c>
      <c r="F7" s="13">
        <f t="shared" si="1"/>
        <v>-490977.43999999994</v>
      </c>
    </row>
    <row r="8" spans="1:6">
      <c r="A8" s="10" t="s">
        <v>8</v>
      </c>
      <c r="C8" s="11">
        <v>0</v>
      </c>
      <c r="E8" s="11">
        <v>0</v>
      </c>
      <c r="F8" s="13">
        <f t="shared" si="1"/>
        <v>0</v>
      </c>
    </row>
    <row r="9" spans="1:6">
      <c r="A9" s="10" t="s">
        <v>9</v>
      </c>
      <c r="C9" s="11">
        <v>4720000</v>
      </c>
      <c r="E9" s="11">
        <v>4720000</v>
      </c>
      <c r="F9" s="13">
        <f t="shared" si="1"/>
        <v>0</v>
      </c>
    </row>
    <row r="10" spans="1:6">
      <c r="A10" s="10" t="s">
        <v>10</v>
      </c>
      <c r="C10" s="11">
        <v>0</v>
      </c>
      <c r="E10" s="11">
        <v>0</v>
      </c>
      <c r="F10" s="13">
        <f t="shared" si="1"/>
        <v>0</v>
      </c>
    </row>
    <row r="11" spans="1:6">
      <c r="A11" s="10" t="s">
        <v>11</v>
      </c>
      <c r="C11" s="12">
        <v>0</v>
      </c>
      <c r="E11" s="12">
        <v>0</v>
      </c>
      <c r="F11" s="13">
        <f t="shared" si="1"/>
        <v>0</v>
      </c>
    </row>
    <row r="12" spans="1:6">
      <c r="A12" s="10" t="s">
        <v>12</v>
      </c>
      <c r="C12" s="11">
        <f>+C5+C6</f>
        <v>224219479.2846261</v>
      </c>
      <c r="E12" s="11">
        <f>+E6+E5</f>
        <v>251811504.71101534</v>
      </c>
      <c r="F12" s="13">
        <f t="shared" si="1"/>
        <v>-27592025.426389247</v>
      </c>
    </row>
    <row r="13" spans="1:6" ht="14.45" thickBot="1">
      <c r="F13" s="13">
        <f t="shared" si="1"/>
        <v>0</v>
      </c>
    </row>
    <row r="14" spans="1:6" ht="14.45" thickBot="1">
      <c r="A14" s="15" t="s">
        <v>13</v>
      </c>
      <c r="B14" s="16"/>
      <c r="C14" s="17">
        <f>+C10+C9+C7</f>
        <v>8001357.5199999996</v>
      </c>
      <c r="D14" s="16"/>
      <c r="E14" s="17">
        <f>+E10+E9+E7</f>
        <v>8492334.9600000009</v>
      </c>
      <c r="F14" s="13">
        <f t="shared" si="1"/>
        <v>-490977.44000000134</v>
      </c>
    </row>
    <row r="15" spans="1:6" ht="14.45" thickBot="1">
      <c r="A15" s="15" t="s">
        <v>14</v>
      </c>
      <c r="B15" s="16"/>
      <c r="C15" s="17">
        <f>+C12+C14</f>
        <v>232220836.80462611</v>
      </c>
      <c r="D15" s="16"/>
      <c r="E15" s="17">
        <f>+E12+E14</f>
        <v>260303839.67101535</v>
      </c>
      <c r="F15" s="13">
        <f t="shared" si="1"/>
        <v>-28083002.866389245</v>
      </c>
    </row>
    <row r="16" spans="1:6" ht="14.45" thickBot="1">
      <c r="A16" s="15" t="s">
        <v>15</v>
      </c>
      <c r="B16" s="16">
        <v>0.19</v>
      </c>
      <c r="C16" s="17">
        <f>+C15*B16</f>
        <v>44121958.992878959</v>
      </c>
      <c r="D16" s="16">
        <v>0.19</v>
      </c>
      <c r="E16" s="17">
        <f>+E15*D16</f>
        <v>49457729.537492916</v>
      </c>
      <c r="F16" s="13">
        <f t="shared" si="1"/>
        <v>-5335770.5446139574</v>
      </c>
    </row>
    <row r="17" spans="1:6" ht="14.45" thickBot="1">
      <c r="A17" s="15" t="s">
        <v>16</v>
      </c>
      <c r="B17" s="16"/>
      <c r="C17" s="17">
        <f>+C16+C15</f>
        <v>276342795.79750508</v>
      </c>
      <c r="D17" s="16"/>
      <c r="E17" s="17">
        <f>+E16+E15</f>
        <v>309761569.20850825</v>
      </c>
      <c r="F17" s="13">
        <f t="shared" si="1"/>
        <v>-33418773.411003172</v>
      </c>
    </row>
    <row r="20" spans="1:6">
      <c r="A20" s="10" t="s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9015D-4D03-49E7-98D4-C2FB0969281F}">
  <dimension ref="A2:F20"/>
  <sheetViews>
    <sheetView topLeftCell="A4" workbookViewId="0">
      <selection activeCell="E19" sqref="E19"/>
    </sheetView>
  </sheetViews>
  <sheetFormatPr defaultColWidth="11.42578125" defaultRowHeight="14.1"/>
  <cols>
    <col min="1" max="1" width="46.7109375" style="10" bestFit="1" customWidth="1"/>
    <col min="2" max="3" width="18.28515625" style="11" bestFit="1" customWidth="1"/>
    <col min="4" max="4" width="18.28515625" style="12" customWidth="1"/>
    <col min="5" max="5" width="29.28515625" style="11" bestFit="1" customWidth="1"/>
    <col min="6" max="6" width="19.7109375" style="10" customWidth="1"/>
    <col min="7" max="16384" width="11.42578125" style="10"/>
  </cols>
  <sheetData>
    <row r="2" spans="1:6" s="7" customFormat="1">
      <c r="A2" s="7" t="s">
        <v>0</v>
      </c>
      <c r="B2" s="8"/>
      <c r="C2" s="8" t="s">
        <v>1</v>
      </c>
      <c r="D2" s="9"/>
      <c r="E2" s="8" t="s">
        <v>2</v>
      </c>
      <c r="F2" s="8" t="s">
        <v>3</v>
      </c>
    </row>
    <row r="3" spans="1:6">
      <c r="A3" s="10" t="s">
        <v>4</v>
      </c>
      <c r="C3" s="11">
        <v>0</v>
      </c>
      <c r="E3" s="11">
        <v>0</v>
      </c>
      <c r="F3" s="13">
        <f>+C3-E3</f>
        <v>0</v>
      </c>
    </row>
    <row r="4" spans="1:6">
      <c r="F4" s="13">
        <f t="shared" ref="F4" si="0">+C4-E4</f>
        <v>0</v>
      </c>
    </row>
    <row r="5" spans="1:6">
      <c r="A5" s="10" t="s">
        <v>5</v>
      </c>
      <c r="C5" s="11">
        <v>406113660.38281667</v>
      </c>
      <c r="E5" s="11">
        <v>474223889.66998744</v>
      </c>
      <c r="F5" s="13">
        <f>+C5-E5</f>
        <v>-68110229.287170768</v>
      </c>
    </row>
    <row r="6" spans="1:6">
      <c r="A6" s="10" t="s">
        <v>6</v>
      </c>
      <c r="C6" s="11">
        <v>8892190.7298562042</v>
      </c>
      <c r="E6" s="11">
        <v>10383519.903331565</v>
      </c>
      <c r="F6" s="13">
        <f t="shared" ref="F6:F17" si="1">+C6-E6</f>
        <v>-1491329.1734753605</v>
      </c>
    </row>
    <row r="7" spans="1:6">
      <c r="A7" s="10" t="s">
        <v>7</v>
      </c>
      <c r="C7" s="11">
        <v>5742375.6599999992</v>
      </c>
      <c r="E7" s="11">
        <v>6601586.1799999997</v>
      </c>
      <c r="F7" s="13">
        <f t="shared" si="1"/>
        <v>-859210.52000000048</v>
      </c>
    </row>
    <row r="8" spans="1:6">
      <c r="A8" s="10" t="s">
        <v>8</v>
      </c>
      <c r="C8" s="11">
        <v>0</v>
      </c>
      <c r="E8" s="11">
        <v>0</v>
      </c>
      <c r="F8" s="13">
        <f t="shared" si="1"/>
        <v>0</v>
      </c>
    </row>
    <row r="9" spans="1:6">
      <c r="A9" s="10" t="s">
        <v>9</v>
      </c>
      <c r="C9" s="11">
        <v>0</v>
      </c>
      <c r="F9" s="13">
        <f t="shared" si="1"/>
        <v>0</v>
      </c>
    </row>
    <row r="10" spans="1:6">
      <c r="A10" s="10" t="s">
        <v>10</v>
      </c>
      <c r="C10" s="11">
        <v>0</v>
      </c>
      <c r="E10" s="11">
        <v>0</v>
      </c>
      <c r="F10" s="13">
        <f t="shared" si="1"/>
        <v>0</v>
      </c>
    </row>
    <row r="11" spans="1:6">
      <c r="A11" s="10" t="s">
        <v>11</v>
      </c>
      <c r="C11" s="12">
        <v>0</v>
      </c>
      <c r="E11" s="12">
        <v>0</v>
      </c>
      <c r="F11" s="13">
        <f t="shared" si="1"/>
        <v>0</v>
      </c>
    </row>
    <row r="12" spans="1:6">
      <c r="A12" s="10" t="s">
        <v>12</v>
      </c>
      <c r="C12" s="11">
        <f>+C5+C6</f>
        <v>415005851.11267287</v>
      </c>
      <c r="E12" s="11">
        <f>+E6+E5</f>
        <v>484607409.57331902</v>
      </c>
      <c r="F12" s="13">
        <f t="shared" si="1"/>
        <v>-69601558.460646152</v>
      </c>
    </row>
    <row r="13" spans="1:6" ht="14.45" thickBot="1">
      <c r="F13" s="13">
        <f t="shared" si="1"/>
        <v>0</v>
      </c>
    </row>
    <row r="14" spans="1:6" ht="14.45" thickBot="1">
      <c r="A14" s="15" t="s">
        <v>13</v>
      </c>
      <c r="B14" s="16"/>
      <c r="C14" s="17">
        <f>+C10+C9+C7</f>
        <v>5742375.6599999992</v>
      </c>
      <c r="D14" s="16"/>
      <c r="E14" s="17">
        <f>+E10+E9+E7</f>
        <v>6601586.1799999997</v>
      </c>
      <c r="F14" s="13">
        <f t="shared" si="1"/>
        <v>-859210.52000000048</v>
      </c>
    </row>
    <row r="15" spans="1:6" ht="14.45" thickBot="1">
      <c r="A15" s="15" t="s">
        <v>14</v>
      </c>
      <c r="B15" s="16"/>
      <c r="C15" s="17">
        <f>+C12+C14</f>
        <v>420748226.77267289</v>
      </c>
      <c r="D15" s="16"/>
      <c r="E15" s="17">
        <f>+E12+E14</f>
        <v>491208995.75331903</v>
      </c>
      <c r="F15" s="13">
        <f t="shared" si="1"/>
        <v>-70460768.980646133</v>
      </c>
    </row>
    <row r="16" spans="1:6" ht="14.45" thickBot="1">
      <c r="A16" s="15" t="s">
        <v>15</v>
      </c>
      <c r="B16" s="16">
        <v>0.19</v>
      </c>
      <c r="C16" s="17">
        <f>+C15*B16</f>
        <v>79942163.086807847</v>
      </c>
      <c r="D16" s="16">
        <v>0.19</v>
      </c>
      <c r="E16" s="17">
        <f>+E15*D16</f>
        <v>93329709.193130612</v>
      </c>
      <c r="F16" s="13">
        <f t="shared" si="1"/>
        <v>-13387546.106322765</v>
      </c>
    </row>
    <row r="17" spans="1:6" ht="14.45" thickBot="1">
      <c r="A17" s="15" t="s">
        <v>16</v>
      </c>
      <c r="B17" s="16"/>
      <c r="C17" s="17">
        <f>+C16+C15</f>
        <v>500690389.85948074</v>
      </c>
      <c r="D17" s="16"/>
      <c r="E17" s="17">
        <f>+E16+E15</f>
        <v>584538704.94644964</v>
      </c>
      <c r="F17" s="13">
        <f t="shared" si="1"/>
        <v>-83848315.086968899</v>
      </c>
    </row>
    <row r="20" spans="1:6">
      <c r="A20" s="10" t="s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E8772-1BFC-4D1F-9382-22D03D6D6A85}">
  <dimension ref="A2:F20"/>
  <sheetViews>
    <sheetView workbookViewId="0"/>
  </sheetViews>
  <sheetFormatPr defaultColWidth="11.42578125" defaultRowHeight="14.1"/>
  <cols>
    <col min="1" max="1" width="46.7109375" style="10" bestFit="1" customWidth="1"/>
    <col min="2" max="3" width="18.28515625" style="11" bestFit="1" customWidth="1"/>
    <col min="4" max="4" width="18.28515625" style="12" customWidth="1"/>
    <col min="5" max="5" width="29.28515625" style="11" bestFit="1" customWidth="1"/>
    <col min="6" max="6" width="19.7109375" style="10" customWidth="1"/>
    <col min="7" max="16384" width="11.42578125" style="10"/>
  </cols>
  <sheetData>
    <row r="2" spans="1:6" s="7" customFormat="1">
      <c r="A2" s="7" t="s">
        <v>0</v>
      </c>
      <c r="B2" s="8"/>
      <c r="C2" s="8" t="s">
        <v>1</v>
      </c>
      <c r="D2" s="9"/>
      <c r="E2" s="8" t="s">
        <v>2</v>
      </c>
      <c r="F2" s="8" t="s">
        <v>3</v>
      </c>
    </row>
    <row r="3" spans="1:6">
      <c r="A3" s="10" t="s">
        <v>4</v>
      </c>
      <c r="C3" s="11">
        <v>4300000000</v>
      </c>
      <c r="E3" s="11">
        <v>4300000000</v>
      </c>
      <c r="F3" s="13">
        <f>+C3-E3</f>
        <v>0</v>
      </c>
    </row>
    <row r="4" spans="1:6">
      <c r="F4" s="13">
        <f t="shared" ref="F4" si="0">+C4-E4</f>
        <v>0</v>
      </c>
    </row>
    <row r="5" spans="1:6">
      <c r="A5" s="10" t="s">
        <v>5</v>
      </c>
      <c r="C5" s="11">
        <v>4212567.9996622903</v>
      </c>
      <c r="E5" s="11">
        <v>4859695.7567831641</v>
      </c>
      <c r="F5" s="13">
        <f>+C5-E5</f>
        <v>-647127.75712087378</v>
      </c>
    </row>
    <row r="6" spans="1:6">
      <c r="A6" s="10" t="s">
        <v>6</v>
      </c>
      <c r="C6" s="11">
        <v>0</v>
      </c>
      <c r="E6" s="11">
        <v>0</v>
      </c>
      <c r="F6" s="13">
        <f t="shared" ref="F6:F17" si="1">+C6-E6</f>
        <v>0</v>
      </c>
    </row>
    <row r="7" spans="1:6">
      <c r="A7" s="10" t="s">
        <v>7</v>
      </c>
      <c r="C7" s="11">
        <v>0</v>
      </c>
      <c r="E7" s="11">
        <v>0</v>
      </c>
      <c r="F7" s="13">
        <f t="shared" si="1"/>
        <v>0</v>
      </c>
    </row>
    <row r="8" spans="1:6">
      <c r="A8" s="10" t="s">
        <v>8</v>
      </c>
      <c r="C8" s="11">
        <v>0</v>
      </c>
      <c r="E8" s="11">
        <v>0</v>
      </c>
      <c r="F8" s="13">
        <f t="shared" si="1"/>
        <v>0</v>
      </c>
    </row>
    <row r="9" spans="1:6">
      <c r="A9" s="10" t="s">
        <v>9</v>
      </c>
      <c r="C9" s="11">
        <v>0</v>
      </c>
      <c r="F9" s="13">
        <f t="shared" si="1"/>
        <v>0</v>
      </c>
    </row>
    <row r="10" spans="1:6">
      <c r="A10" s="10" t="s">
        <v>10</v>
      </c>
      <c r="C10" s="11">
        <v>0</v>
      </c>
      <c r="E10" s="11">
        <v>0</v>
      </c>
      <c r="F10" s="13">
        <f t="shared" si="1"/>
        <v>0</v>
      </c>
    </row>
    <row r="11" spans="1:6">
      <c r="A11" s="10" t="s">
        <v>11</v>
      </c>
      <c r="C11" s="12">
        <v>0</v>
      </c>
      <c r="E11" s="12">
        <v>0</v>
      </c>
      <c r="F11" s="13">
        <f t="shared" si="1"/>
        <v>0</v>
      </c>
    </row>
    <row r="12" spans="1:6">
      <c r="A12" s="10" t="s">
        <v>12</v>
      </c>
      <c r="C12" s="11">
        <f>+C5+C6</f>
        <v>4212567.9996622903</v>
      </c>
      <c r="E12" s="11">
        <f>+E6+E5</f>
        <v>4859695.7567831641</v>
      </c>
      <c r="F12" s="13">
        <f t="shared" si="1"/>
        <v>-647127.75712087378</v>
      </c>
    </row>
    <row r="13" spans="1:6" ht="14.45" thickBot="1">
      <c r="F13" s="13">
        <f t="shared" si="1"/>
        <v>0</v>
      </c>
    </row>
    <row r="14" spans="1:6" ht="14.45" thickBot="1">
      <c r="A14" s="15" t="s">
        <v>13</v>
      </c>
      <c r="B14" s="16"/>
      <c r="C14" s="17">
        <f>+C10+C9+C7</f>
        <v>0</v>
      </c>
      <c r="D14" s="16"/>
      <c r="E14" s="17">
        <f>+E10+E9+E7</f>
        <v>0</v>
      </c>
      <c r="F14" s="13">
        <f t="shared" si="1"/>
        <v>0</v>
      </c>
    </row>
    <row r="15" spans="1:6" ht="14.45" thickBot="1">
      <c r="A15" s="15" t="s">
        <v>14</v>
      </c>
      <c r="B15" s="16"/>
      <c r="C15" s="17">
        <f>+C12+C14</f>
        <v>4212567.9996622903</v>
      </c>
      <c r="D15" s="16"/>
      <c r="E15" s="17">
        <f>+E12+E14</f>
        <v>4859695.7567831641</v>
      </c>
      <c r="F15" s="13">
        <f t="shared" si="1"/>
        <v>-647127.75712087378</v>
      </c>
    </row>
    <row r="16" spans="1:6" ht="14.45" thickBot="1">
      <c r="A16" s="15" t="s">
        <v>15</v>
      </c>
      <c r="B16" s="16">
        <v>0.19</v>
      </c>
      <c r="C16" s="17">
        <f>+C15*B16</f>
        <v>800387.91993583518</v>
      </c>
      <c r="D16" s="16">
        <v>0.19</v>
      </c>
      <c r="E16" s="17">
        <f>+E15*D16</f>
        <v>923342.1937888012</v>
      </c>
      <c r="F16" s="13">
        <f t="shared" si="1"/>
        <v>-122954.27385296603</v>
      </c>
    </row>
    <row r="17" spans="1:6" ht="14.45" thickBot="1">
      <c r="A17" s="15" t="s">
        <v>16</v>
      </c>
      <c r="B17" s="16"/>
      <c r="C17" s="17">
        <f>+C16+C15</f>
        <v>5012955.9195981259</v>
      </c>
      <c r="D17" s="16"/>
      <c r="E17" s="17">
        <f>+E16+E15</f>
        <v>5783037.9505719654</v>
      </c>
      <c r="F17" s="13">
        <f t="shared" si="1"/>
        <v>-770082.03097383957</v>
      </c>
    </row>
    <row r="20" spans="1:6">
      <c r="A20" s="10" t="s">
        <v>17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41637-B82D-4FDE-AB86-64DB10E55243}">
  <dimension ref="B1:M25"/>
  <sheetViews>
    <sheetView tabSelected="1" topLeftCell="C3" workbookViewId="0">
      <selection activeCell="K25" sqref="K25"/>
    </sheetView>
  </sheetViews>
  <sheetFormatPr defaultColWidth="11.42578125" defaultRowHeight="14.1"/>
  <cols>
    <col min="1" max="1" width="1.140625" style="10" customWidth="1"/>
    <col min="2" max="2" width="23.28515625" style="10" bestFit="1" customWidth="1"/>
    <col min="3" max="3" width="18.28515625" style="11" bestFit="1" customWidth="1"/>
    <col min="4" max="4" width="23.85546875" style="11" customWidth="1"/>
    <col min="5" max="6" width="16.7109375" style="11" customWidth="1"/>
    <col min="7" max="7" width="1.85546875" style="11" customWidth="1"/>
    <col min="8" max="8" width="20" style="28" customWidth="1"/>
    <col min="9" max="9" width="17.42578125" style="7" bestFit="1" customWidth="1"/>
    <col min="10" max="10" width="15.85546875" style="10" bestFit="1" customWidth="1"/>
    <col min="11" max="11" width="17.42578125" style="11" bestFit="1" customWidth="1"/>
    <col min="12" max="12" width="15.85546875" style="10" bestFit="1" customWidth="1"/>
    <col min="13" max="13" width="14.85546875" style="10" bestFit="1" customWidth="1"/>
    <col min="14" max="16384" width="11.42578125" style="10"/>
  </cols>
  <sheetData>
    <row r="1" spans="2:13">
      <c r="B1" s="7" t="s">
        <v>34</v>
      </c>
      <c r="C1" s="8" t="s">
        <v>35</v>
      </c>
      <c r="D1" s="8" t="s">
        <v>36</v>
      </c>
      <c r="E1" s="8" t="s">
        <v>37</v>
      </c>
      <c r="F1" s="8" t="s">
        <v>38</v>
      </c>
      <c r="G1" s="8"/>
      <c r="H1" s="26" t="s">
        <v>39</v>
      </c>
      <c r="I1" s="7" t="s">
        <v>39</v>
      </c>
      <c r="J1" s="7" t="s">
        <v>40</v>
      </c>
    </row>
    <row r="2" spans="2:13">
      <c r="B2" s="7" t="s">
        <v>41</v>
      </c>
      <c r="C2" s="11">
        <f>+Consultoria!C17</f>
        <v>499488636.61748058</v>
      </c>
      <c r="D2" s="11">
        <f>+Consultoria!E17</f>
        <v>617162111.33125567</v>
      </c>
      <c r="E2" s="11">
        <f>+InterventoriaC!C17</f>
        <v>276342795.79750508</v>
      </c>
      <c r="F2" s="11">
        <f>+InterventoriaC!E17</f>
        <v>309761569.20850825</v>
      </c>
      <c r="H2" s="27">
        <f>Consultoria!E17</f>
        <v>617162111.33125567</v>
      </c>
      <c r="I2" s="11">
        <v>6081426737.2930317</v>
      </c>
      <c r="J2" s="11">
        <v>313579250</v>
      </c>
    </row>
    <row r="3" spans="2:13">
      <c r="B3" s="7" t="s">
        <v>42</v>
      </c>
      <c r="C3" s="11">
        <f>+TotalContratoSinIVA</f>
        <v>5818332517.4448299</v>
      </c>
      <c r="D3" s="11">
        <f>+Obra!E22</f>
        <v>6069964890.0787449</v>
      </c>
      <c r="E3" s="11">
        <f>+InterventoriaO!C17</f>
        <v>500690389.85948074</v>
      </c>
      <c r="F3" s="11">
        <f>+InterventoriaO!E17</f>
        <v>584538704.94644964</v>
      </c>
      <c r="H3" s="27">
        <f>Obra!E22</f>
        <v>6069964890.0787449</v>
      </c>
      <c r="I3" s="11">
        <v>550675790</v>
      </c>
      <c r="J3" s="11">
        <v>566561870</v>
      </c>
    </row>
    <row r="4" spans="2:13">
      <c r="B4" s="7" t="s">
        <v>43</v>
      </c>
      <c r="C4" s="11">
        <f>ABS(Obra!C26)</f>
        <v>79441557.555170059</v>
      </c>
      <c r="I4" s="11"/>
    </row>
    <row r="5" spans="2:13">
      <c r="B5" s="7" t="s">
        <v>44</v>
      </c>
      <c r="C5" s="11">
        <v>120555925</v>
      </c>
      <c r="D5" s="11">
        <v>120555925</v>
      </c>
      <c r="H5" s="27">
        <v>120555925</v>
      </c>
      <c r="I5" s="11">
        <v>120555925</v>
      </c>
    </row>
    <row r="6" spans="2:13">
      <c r="B6" s="7" t="s">
        <v>45</v>
      </c>
      <c r="C6" s="11">
        <v>0</v>
      </c>
      <c r="D6" s="11">
        <v>0</v>
      </c>
      <c r="E6" s="11">
        <f>+CierreLiquidacion!C17</f>
        <v>5012955.9195981259</v>
      </c>
      <c r="F6" s="11">
        <f>+CierreLiquidacion!E17</f>
        <v>5783037.9505719654</v>
      </c>
      <c r="I6" s="11"/>
      <c r="J6" s="11">
        <v>5783037.9505719654</v>
      </c>
    </row>
    <row r="7" spans="2:13">
      <c r="B7" s="7" t="s">
        <v>46</v>
      </c>
      <c r="C7" s="11">
        <f>SUM(C2:C6)</f>
        <v>6517818636.6174803</v>
      </c>
      <c r="D7" s="11">
        <f t="shared" ref="D7:F7" si="0">SUM(D2:D6)</f>
        <v>6807682926.4100008</v>
      </c>
      <c r="E7" s="11">
        <f t="shared" si="0"/>
        <v>782046141.57658386</v>
      </c>
      <c r="F7" s="11">
        <f t="shared" si="0"/>
        <v>900083312.1055299</v>
      </c>
      <c r="H7" s="29">
        <f>SUM(H2:H5)</f>
        <v>6807682926.4100008</v>
      </c>
      <c r="I7" s="8">
        <f>SUM(I2:I5)</f>
        <v>6752658452.2930317</v>
      </c>
      <c r="J7" s="24">
        <f>+J2+J3+J6</f>
        <v>885924157.95057201</v>
      </c>
      <c r="L7" s="13"/>
    </row>
    <row r="8" spans="2:13">
      <c r="B8" s="7"/>
    </row>
    <row r="9" spans="2:13">
      <c r="B9" s="7" t="s">
        <v>47</v>
      </c>
      <c r="C9" s="11">
        <f>+D7-C7</f>
        <v>289864289.79252052</v>
      </c>
      <c r="H9" s="27">
        <f>H7-C7</f>
        <v>289864289.79252052</v>
      </c>
      <c r="I9" s="13">
        <f>+I7-C7</f>
        <v>234839815.67555141</v>
      </c>
      <c r="J9" s="13">
        <f>H9-I9</f>
        <v>55024474.116969109</v>
      </c>
      <c r="K9" s="8"/>
    </row>
    <row r="10" spans="2:13">
      <c r="B10" s="7" t="s">
        <v>48</v>
      </c>
      <c r="C10" s="11">
        <f>+F7-E7</f>
        <v>118037170.52894604</v>
      </c>
      <c r="H10" s="30">
        <f>+J7-E7</f>
        <v>103878016.37398815</v>
      </c>
      <c r="I10" s="13">
        <f>+J7-E7</f>
        <v>103878016.37398815</v>
      </c>
      <c r="K10" s="8"/>
    </row>
    <row r="11" spans="2:13">
      <c r="B11" s="7"/>
    </row>
    <row r="12" spans="2:13">
      <c r="B12" s="7" t="s">
        <v>49</v>
      </c>
      <c r="C12" s="8">
        <f>+C9+C10</f>
        <v>407901460.32146657</v>
      </c>
      <c r="H12" s="31">
        <f>+H9+H10</f>
        <v>393742306.16650867</v>
      </c>
      <c r="I12" s="25">
        <f>+I9+I10</f>
        <v>338717832.04953957</v>
      </c>
      <c r="J12" s="13"/>
      <c r="K12" s="8"/>
      <c r="L12" s="13"/>
    </row>
    <row r="14" spans="2:13">
      <c r="J14" s="33">
        <f>+H2-C2</f>
        <v>117673474.7137751</v>
      </c>
      <c r="K14" s="35">
        <f>+J14/C2</f>
        <v>0.23558789146967529</v>
      </c>
      <c r="L14" s="33">
        <f>+C2/C7</f>
        <v>7.6634325756062716E-2</v>
      </c>
      <c r="M14" s="10">
        <f>+(K14*L14)</f>
        <v>1.8054119219071046E-2</v>
      </c>
    </row>
    <row r="15" spans="2:13">
      <c r="B15" s="10" t="s">
        <v>50</v>
      </c>
      <c r="C15" s="11" t="s">
        <v>51</v>
      </c>
      <c r="D15" s="11">
        <v>527600000</v>
      </c>
      <c r="J15" s="33">
        <f>+H7-C7</f>
        <v>289864289.79252052</v>
      </c>
      <c r="K15" s="35">
        <f>+J15/C3</f>
        <v>4.9819134420976144E-2</v>
      </c>
      <c r="L15" s="33">
        <f>+C3/C7</f>
        <v>0.89268094769576789</v>
      </c>
      <c r="M15" s="10">
        <f>+(K15*L15)</f>
        <v>4.4472592128299834E-2</v>
      </c>
    </row>
    <row r="16" spans="2:13">
      <c r="C16" s="11" t="s">
        <v>52</v>
      </c>
      <c r="D16" s="11">
        <v>5548140822</v>
      </c>
      <c r="J16" s="33">
        <f>+J14+J15</f>
        <v>407537764.50629562</v>
      </c>
      <c r="M16" s="36">
        <f>+(M14+M15)/(L14+L15)</f>
        <v>6.4506062227521574E-2</v>
      </c>
    </row>
    <row r="17" spans="2:11">
      <c r="C17" s="11" t="s">
        <v>53</v>
      </c>
      <c r="D17" s="11">
        <v>120555925</v>
      </c>
      <c r="J17" s="34">
        <f>+(H7-C7)/C7</f>
        <v>4.4472592128299834E-2</v>
      </c>
    </row>
    <row r="18" spans="2:11">
      <c r="D18" s="8">
        <f>SUM(D15:D17)</f>
        <v>6196296747</v>
      </c>
    </row>
    <row r="20" spans="2:11">
      <c r="C20" s="11">
        <f>+C7-D18</f>
        <v>321521889.61748028</v>
      </c>
    </row>
    <row r="22" spans="2:11">
      <c r="B22" s="10" t="s">
        <v>54</v>
      </c>
      <c r="C22" s="11" t="s">
        <v>51</v>
      </c>
      <c r="D22" s="11">
        <v>276288930</v>
      </c>
      <c r="K22" s="37">
        <v>3.5799999999999998E-2</v>
      </c>
    </row>
    <row r="23" spans="2:11">
      <c r="C23" s="11" t="s">
        <v>52</v>
      </c>
      <c r="D23" s="11">
        <v>505337910</v>
      </c>
      <c r="K23" s="37">
        <v>3.7100000000000001E-2</v>
      </c>
    </row>
    <row r="24" spans="2:11">
      <c r="D24" s="8">
        <f>SUM(D22:D23)</f>
        <v>781626840</v>
      </c>
      <c r="E24" s="11">
        <f>+D24-E7</f>
        <v>-419301.5765838623</v>
      </c>
      <c r="K24" s="37">
        <f>+(1+K22)*(1+K23)</f>
        <v>1.07422818</v>
      </c>
    </row>
    <row r="25" spans="2:11">
      <c r="I25" s="32">
        <f>+H7+D24</f>
        <v>7589309766.4100008</v>
      </c>
      <c r="K25" s="37">
        <f>+K24-1</f>
        <v>7.4228179999999977E-2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73afcf-094b-46eb-b040-d5fc83b36952" xsi:nil="true"/>
    <lcf76f155ced4ddcb4097134ff3c332f xmlns="14d30082-7d4a-4e60-a5e8-1d81fd28f255">
      <Terms xmlns="http://schemas.microsoft.com/office/infopath/2007/PartnerControls"/>
    </lcf76f155ced4ddcb4097134ff3c332f>
    <_Flow_SignoffStatus xmlns="14d30082-7d4a-4e60-a5e8-1d81fd28f25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805C9D22EE7F4CBFE7F0F2050F1ADD" ma:contentTypeVersion="19" ma:contentTypeDescription="Crear nuevo documento." ma:contentTypeScope="" ma:versionID="a0605862c026e7fda5831b6427ca508b">
  <xsd:schema xmlns:xsd="http://www.w3.org/2001/XMLSchema" xmlns:xs="http://www.w3.org/2001/XMLSchema" xmlns:p="http://schemas.microsoft.com/office/2006/metadata/properties" xmlns:ns2="14d30082-7d4a-4e60-a5e8-1d81fd28f255" xmlns:ns3="3273afcf-094b-46eb-b040-d5fc83b36952" targetNamespace="http://schemas.microsoft.com/office/2006/metadata/properties" ma:root="true" ma:fieldsID="c65381d336aac5e7b1adc08c3c3e5d4f" ns2:_="" ns3:_="">
    <xsd:import namespace="14d30082-7d4a-4e60-a5e8-1d81fd28f255"/>
    <xsd:import namespace="3273afcf-094b-46eb-b040-d5fc83b369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30082-7d4a-4e60-a5e8-1d81fd28f2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4" nillable="true" ma:displayName="Estado de aprobación" ma:internalName="Estado_x0020_de_x0020_aprobaci_x00f3_n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3afcf-094b-46eb-b040-d5fc83b3695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27a9df-bf52-4597-ac1e-3288399cb512}" ma:internalName="TaxCatchAll" ma:showField="CatchAllData" ma:web="3273afcf-094b-46eb-b040-d5fc83b36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508CB5-8EDC-4EF2-BD46-0FE58589B7F7}"/>
</file>

<file path=customXml/itemProps2.xml><?xml version="1.0" encoding="utf-8"?>
<ds:datastoreItem xmlns:ds="http://schemas.openxmlformats.org/officeDocument/2006/customXml" ds:itemID="{91403A55-199E-4CF2-A744-40A365F18EEE}"/>
</file>

<file path=customXml/itemProps3.xml><?xml version="1.0" encoding="utf-8"?>
<ds:datastoreItem xmlns:ds="http://schemas.openxmlformats.org/officeDocument/2006/customXml" ds:itemID="{ACEDBDB0-5DEA-4499-B5B2-663506D82C38}"/>
</file>

<file path=docMetadata/LabelInfo.xml><?xml version="1.0" encoding="utf-8"?>
<clbl:labelList xmlns:clbl="http://schemas.microsoft.com/office/2020/mipLabelMetadata">
  <clbl:label id="{2c265b7e-6857-49fe-ae12-61c1a6cdb046}" enabled="0" method="" siteId="{2c265b7e-6857-49fe-ae12-61c1a6cdb04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FERNANDO ROJAS CUERVO</dc:creator>
  <cp:keywords/>
  <dc:description/>
  <cp:lastModifiedBy>JORGE ELIECER VIAFARA MORALES</cp:lastModifiedBy>
  <cp:revision/>
  <dcterms:created xsi:type="dcterms:W3CDTF">2025-05-09T19:20:47Z</dcterms:created>
  <dcterms:modified xsi:type="dcterms:W3CDTF">2025-08-01T19:05:15Z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0x01010027805C9D22EE7F4CBFE7F0F2050F1ADD</vt:lpwstr>
  </property>
  <property fmtid="{D5CDD505-2E9C-101B-9397-08002B2CF9AE}" pid="3" name="MediaServiceImageTags">
    <vt:lpwstr/>
  </property>
</Properties>
</file>